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illarbio-my.sharepoint.com/personal/nnatubeugon_pillarbiosci_com/Documents/Documents/Product Mgmt &amp; Marketing/General Product Info (Pricing, Eval Kits, Relationships)/Calculators/"/>
    </mc:Choice>
  </mc:AlternateContent>
  <xr:revisionPtr revIDLastSave="464" documentId="8_{8D646ABA-6B2E-4F9A-A024-5B2D1EEE21EF}" xr6:coauthVersionLast="47" xr6:coauthVersionMax="47" xr10:uidLastSave="{16CF4F0E-0309-4E13-9ACA-AF7A0EAC46F5}"/>
  <bookViews>
    <workbookView xWindow="38280" yWindow="330" windowWidth="38640" windowHeight="21390" tabRatio="791" xr2:uid="{08DC36E0-10CB-484B-9B9D-1141E44F1C2B}"/>
  </bookViews>
  <sheets>
    <sheet name="Parameter Selection" sheetId="1" r:id="rId1"/>
    <sheet name="Lists" sheetId="2" state="veryHidden" r:id="rId2"/>
    <sheet name="Reference Lookups" sheetId="3" state="veryHidden" r:id="rId3"/>
    <sheet name="Calculations" sheetId="6" state="veryHidden" r:id="rId4"/>
  </sheets>
  <definedNames>
    <definedName name="MiniSeq">Lists!$M$3:$M$4</definedName>
    <definedName name="MiSeq">Lists!$N$3:$N$7</definedName>
    <definedName name="NextSeq">Lists!$O$3:$O$4</definedName>
    <definedName name="Platform">Lists!$L$3:$L$5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E36" i="6" l="1"/>
  <c r="F36" i="6" s="1"/>
  <c r="G36" i="6" s="1"/>
  <c r="D15" i="6"/>
  <c r="D22" i="6"/>
  <c r="E28" i="6"/>
  <c r="D21" i="6" l="1"/>
  <c r="E4" i="6"/>
  <c r="E5" i="6"/>
  <c r="E6" i="6"/>
  <c r="E7" i="6"/>
  <c r="E8" i="6"/>
  <c r="E9" i="6"/>
  <c r="E10" i="6"/>
  <c r="E11" i="6"/>
  <c r="E12" i="6"/>
  <c r="G4" i="6"/>
  <c r="G5" i="6"/>
  <c r="P36" i="6" l="1"/>
  <c r="P34" i="6"/>
  <c r="O36" i="6"/>
  <c r="O34" i="6"/>
  <c r="D25" i="6"/>
  <c r="C5" i="1" s="1"/>
  <c r="D47" i="6"/>
  <c r="H5" i="6"/>
  <c r="H4" i="6"/>
  <c r="G28" i="6" l="1"/>
  <c r="E29" i="6"/>
  <c r="E30" i="6"/>
  <c r="E34" i="6"/>
  <c r="F34" i="6" s="1"/>
  <c r="G34" i="6" s="1"/>
  <c r="E35" i="6"/>
  <c r="G30" i="6" l="1"/>
  <c r="P30" i="6" s="1"/>
  <c r="D24" i="6"/>
  <c r="G29" i="6"/>
  <c r="O29" i="6" s="1"/>
  <c r="E47" i="6"/>
  <c r="P28" i="6"/>
  <c r="O28" i="6"/>
  <c r="D16" i="6"/>
  <c r="O30" i="6" l="1"/>
  <c r="D41" i="6" s="1"/>
  <c r="E41" i="6" s="1"/>
  <c r="P29" i="6"/>
  <c r="D42" i="6" s="1"/>
  <c r="G6" i="6"/>
  <c r="H34" i="6" s="1"/>
  <c r="G7" i="6"/>
  <c r="G8" i="6"/>
  <c r="G9" i="6"/>
  <c r="K34" i="6" s="1"/>
  <c r="G10" i="6"/>
  <c r="H10" i="6" s="1"/>
  <c r="G11" i="6"/>
  <c r="G12" i="6"/>
  <c r="J36" i="6" l="1"/>
  <c r="J34" i="6"/>
  <c r="N36" i="6"/>
  <c r="N34" i="6"/>
  <c r="M36" i="6"/>
  <c r="M34" i="6"/>
  <c r="I36" i="6"/>
  <c r="I34" i="6"/>
  <c r="K36" i="6"/>
  <c r="H36" i="6"/>
  <c r="H9" i="6"/>
  <c r="H12" i="6"/>
  <c r="H8" i="6"/>
  <c r="M28" i="6"/>
  <c r="H7" i="6"/>
  <c r="H6" i="6"/>
  <c r="H11" i="6"/>
  <c r="J30" i="6" l="1"/>
  <c r="H28" i="6"/>
  <c r="K29" i="6"/>
  <c r="K30" i="6"/>
  <c r="D46" i="6" s="1"/>
  <c r="M30" i="6"/>
  <c r="N30" i="6"/>
  <c r="I30" i="6"/>
  <c r="H30" i="6"/>
  <c r="D43" i="6" s="1"/>
  <c r="I28" i="6"/>
  <c r="K28" i="6"/>
  <c r="N28" i="6"/>
  <c r="J28" i="6"/>
  <c r="N29" i="6"/>
  <c r="I29" i="6"/>
  <c r="H29" i="6"/>
  <c r="J29" i="6"/>
  <c r="M29" i="6"/>
  <c r="D44" i="6" l="1"/>
  <c r="E44" i="6" s="1"/>
  <c r="D49" i="6"/>
  <c r="E49" i="6" s="1"/>
  <c r="D48" i="6"/>
  <c r="E48" i="6" s="1"/>
  <c r="D45" i="6"/>
  <c r="E43" i="6"/>
  <c r="E42" i="6"/>
  <c r="E46" i="6"/>
  <c r="E45" i="6" l="1"/>
  <c r="D23" i="6" s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Nneka Nnatubeugo</author>
  </authors>
  <commentList>
    <comment ref="C7" authorId="0" shapeId="0" xr:uid="{D27ACCB3-F864-4400-BBB2-F62AF471738C}">
      <text>
        <r>
          <rPr>
            <b/>
            <sz val="9"/>
            <color indexed="81"/>
            <rFont val="Tahoma"/>
            <family val="2"/>
          </rPr>
          <t xml:space="preserve">The default value is 90%.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<sst xmlns="http://schemas.openxmlformats.org/spreadsheetml/2006/main" count="172" uniqueCount="71">
  <si>
    <t xml:space="preserve">Choose Panel </t>
  </si>
  <si>
    <t>Choose Coverage</t>
  </si>
  <si>
    <t>Input Custom Coverage</t>
  </si>
  <si>
    <t>Choose Sequencer</t>
  </si>
  <si>
    <t xml:space="preserve">Choose Flow Cell </t>
  </si>
  <si>
    <t>Calculated Max Theoretical Batch Size</t>
  </si>
  <si>
    <t>Sequencers</t>
  </si>
  <si>
    <t>MiSeq Nano</t>
  </si>
  <si>
    <t>MiSeq Micro</t>
  </si>
  <si>
    <t>MiSeq v2</t>
  </si>
  <si>
    <t>MiSeq v3</t>
  </si>
  <si>
    <t>MiSeq</t>
  </si>
  <si>
    <t xml:space="preserve">NextSeq500/550 </t>
  </si>
  <si>
    <t>Flowcell</t>
  </si>
  <si>
    <t>MiSeq Dx</t>
  </si>
  <si>
    <t>NextSeq Mid Output</t>
  </si>
  <si>
    <t>NextSeq High Output</t>
  </si>
  <si>
    <t>oncoReveal™ Myeloid Panel</t>
  </si>
  <si>
    <t xml:space="preserve">oncoReveal™ Essential MPN Panel </t>
  </si>
  <si>
    <t>oncoReveal™ Multi-Cancer with CNV and RNA Fusion Panel</t>
  </si>
  <si>
    <t>oncoReveal™ BRCA1 &amp; BRCA2 plus CNV Panel</t>
  </si>
  <si>
    <t>Panel Names</t>
  </si>
  <si>
    <t>Panel</t>
  </si>
  <si>
    <t>Sequencer</t>
  </si>
  <si>
    <t>-</t>
  </si>
  <si>
    <t xml:space="preserve">Upper Limit of Output (PE reads M) </t>
  </si>
  <si>
    <t>Recommended Coverage</t>
  </si>
  <si>
    <t># Amplicons</t>
  </si>
  <si>
    <t>Coverage</t>
  </si>
  <si>
    <t>Recommended</t>
  </si>
  <si>
    <t>Custom</t>
  </si>
  <si>
    <t>Platform</t>
  </si>
  <si>
    <t>Coverage x Amplicons</t>
  </si>
  <si>
    <t>On-Target Mapping Rate</t>
  </si>
  <si>
    <t xml:space="preserve">Upper Limit of Output
(output * on-target) </t>
  </si>
  <si>
    <t xml:space="preserve">Upper Limit of Output (PE reads) </t>
  </si>
  <si>
    <t>Panel Drop Down</t>
  </si>
  <si>
    <t>Not a valid sequencer option</t>
  </si>
  <si>
    <t>Coverage Used in Calc</t>
  </si>
  <si>
    <t>Per Sample Read Depth</t>
  </si>
  <si>
    <t>Recommended Sequencer</t>
  </si>
  <si>
    <t>MiSeq Nano, MiSeq Micro, MiSeq v2, MiSeq v3</t>
  </si>
  <si>
    <t>MiSeq v2, MiSeq v3, NextSeq Mid</t>
  </si>
  <si>
    <t>MiSeq Nano, MiSeq Micro, MiSeq v2, MiSeq v3, NextSeq Mid</t>
  </si>
  <si>
    <t>MiSeq Micro, MiSeq v2, MiSeq v3, NextSeq Mid</t>
  </si>
  <si>
    <t>MiSeq v3, NextSeq Mid, NextSeq High</t>
  </si>
  <si>
    <t xml:space="preserve">Libraries </t>
  </si>
  <si>
    <t>oncoReveal™ Essential MPN Panel</t>
  </si>
  <si>
    <t/>
  </si>
  <si>
    <t>&lt;Custom cvg&gt;</t>
  </si>
  <si>
    <t>MiniSeq Mid Output</t>
  </si>
  <si>
    <t>MiniSeq High Output</t>
  </si>
  <si>
    <t>MiniSeq</t>
  </si>
  <si>
    <t>NextSeq</t>
  </si>
  <si>
    <t xml:space="preserve">Sequencing Coverage Used </t>
  </si>
  <si>
    <t xml:space="preserve">4. Choose a flowcell. Only the flowcells compatible with the sequencer chosen will available for selection in the drop-down menu.  </t>
  </si>
  <si>
    <t xml:space="preserve">1. Choose a Pillar panel from the drop down list. </t>
  </si>
  <si>
    <t>3. Choose an Illumina sequencer: MiniSeq, MiSeq, or NextSeq</t>
  </si>
  <si>
    <r>
      <t xml:space="preserve">5. The calculated max theoretical batch size is </t>
    </r>
    <r>
      <rPr>
        <b/>
        <sz val="8"/>
        <color theme="1"/>
        <rFont val="Calibri"/>
        <family val="2"/>
        <scheme val="minor"/>
      </rPr>
      <t>automatically populated</t>
    </r>
    <r>
      <rPr>
        <sz val="8"/>
        <color theme="1"/>
        <rFont val="Calibri"/>
        <family val="2"/>
        <scheme val="minor"/>
      </rPr>
      <t xml:space="preserve"> based on your selections in the previous 4 steps. </t>
    </r>
  </si>
  <si>
    <t>Recommended Seq Coverage</t>
  </si>
  <si>
    <t>oncoReveal™ Core LBx Panel</t>
  </si>
  <si>
    <t>Lower Limit (PE Reads)</t>
  </si>
  <si>
    <t xml:space="preserve">Lower Limit of Output
(output * on-target) </t>
  </si>
  <si>
    <t xml:space="preserve">Same Upper &amp; Lower Limit? </t>
  </si>
  <si>
    <t xml:space="preserve">2. Choose whether you would like to use the recommended per-sample coverage, or whether you'd like to input a custom coverage amount. </t>
  </si>
  <si>
    <t>oncoReveal™ Dx Lung and Colon Cancer Assay (US IVD)</t>
  </si>
  <si>
    <r>
      <t xml:space="preserve">Note: due to limitations in the number of unique indexes we have available, the default maximum number of samples that can be multiplexed is </t>
    </r>
    <r>
      <rPr>
        <b/>
        <sz val="12"/>
        <color rgb="FFFF0000"/>
        <rFont val="Calibri"/>
        <family val="2"/>
        <scheme val="minor"/>
      </rPr>
      <t>96</t>
    </r>
    <r>
      <rPr>
        <b/>
        <sz val="12"/>
        <color theme="1"/>
        <rFont val="Calibri"/>
        <family val="2"/>
        <scheme val="minor"/>
      </rPr>
      <t xml:space="preserve">. This is true even when the calculated theoretical multiplexing capacity is actually much larger. </t>
    </r>
  </si>
  <si>
    <t>Libs posted in Tab1</t>
  </si>
  <si>
    <t>"Coverage" Used in Calc</t>
  </si>
  <si>
    <t>Instructions</t>
  </si>
  <si>
    <t>The calculated max theoretical batch size corresponds to the maximum number of samples processed through each workflow. For example, the maximum number of samples that can be loaded onto a MiSeq Micro flowcell is 3 samples processed through the Multi-Cancer DNA workflow PLUS 3 samples processed through the Multi-Cancer RNA workflow.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</si>
</sst>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9" fontId="0" fillId="3" borderId="1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37" fontId="0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hidden="1"/>
    </xf>
    <xf numFmtId="0" fontId="6" fillId="0" borderId="0" xfId="4" applyBorder="1" applyAlignment="1">
      <alignment horizontal="center" vertical="center" wrapText="1"/>
    </xf>
    <xf numFmtId="44" fontId="1" fillId="0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9" fontId="14" fillId="0" borderId="1" xfId="3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FD761971-5DF6-4D03-93B0-0AF8AD21D074}"/>
    <cellStyle name="Percent" xfId="3" builtinId="5"/>
  </cellStyles>
  <dxfs count="50">
    <dxf>
      <font>
        <b/>
        <i val="0"/>
      </font>
      <fill>
        <patternFill>
          <bgColor theme="7" tint="0.39994506668294322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2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/>
      </font>
      <numFmt numFmtId="0" formatCode="General"/>
      <alignment horizontal="center" vertical="center" textRotation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99FF66"/>
      <color rgb="FF00FF00"/>
      <color rgb="FF9966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1565269-F505-4733-8CE6-DBEBCB964D78}" name="Table4" displayName="Table4" ref="H2:I12" totalsRowShown="0" headerRowBorderDxfId="49" tableBorderDxfId="48" totalsRowBorderDxfId="47">
  <autoFilter ref="H2:I12" xr:uid="{11565269-F505-4733-8CE6-DBEBCB964D78}">
    <filterColumn colId="0" hiddenButton="1"/>
    <filterColumn colId="1" hiddenButton="1"/>
  </autoFilter>
  <tableColumns count="2">
    <tableColumn id="1" xr3:uid="{1B8F4101-F260-46E0-B1E1-F0FA30ADA82F}" name="Sequencer" dataDxfId="46"/>
    <tableColumn id="2" xr3:uid="{778FA730-D6AF-46BF-968B-33465468BC15}" name="Upper Limit of Output (PE reads M) " dataDxfId="4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44132D-B78E-46B0-9D3E-E9B33CCB5588}" name="Table6" displayName="Table6" ref="C27:P30" totalsRowShown="0" headerRowDxfId="44" dataDxfId="43">
  <autoFilter ref="C27:P30" xr:uid="{9444132D-B78E-46B0-9D3E-E9B33CCB55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C28:N30">
    <sortCondition ref="C28:C30"/>
  </sortState>
  <tableColumns count="14">
    <tableColumn id="1" xr3:uid="{B4A7CAA4-A0F4-49B6-93FD-25339B488452}" name="Panel" dataDxfId="18"/>
    <tableColumn id="2" xr3:uid="{BF969740-C011-40F4-9952-AC5B91FEC737}" name="Recommended Coverage" dataDxfId="17"/>
    <tableColumn id="13" xr3:uid="{0893389E-70DC-4610-810E-AA0134A4FFBC}" name="Coverage Used in Calc" dataDxfId="16">
      <calculatedColumnFormula>IF('Parameter Selection'!$C$4&lt;&gt;"Recommended", 'Parameter Selection'!$C$6, Table6[[#This Row],[Recommended Coverage]])</calculatedColumnFormula>
    </tableColumn>
    <tableColumn id="3" xr3:uid="{99647EDD-24BE-4FDA-9206-84BB264D2D44}" name="# Amplicons" dataDxfId="15"/>
    <tableColumn id="4" xr3:uid="{32B7E621-E255-4CE6-B957-4774DFF5DBE9}" name="Coverage x Amplicons" dataDxfId="14">
      <calculatedColumnFormula>Table6[[#This Row],['# Amplicons]]*Table6[[#This Row],[Coverage Used in Calc]]</calculatedColumnFormula>
    </tableColumn>
    <tableColumn id="6" xr3:uid="{F36F6FBD-2E5D-458A-9AC9-8B59D7E4851B}" name="MiSeq Nano" dataDxfId="13">
      <calculatedColumnFormula>ROUNDDOWN(($G$6/Table6[[#This Row],[Coverage x Amplicons]])/2, 0)</calculatedColumnFormula>
    </tableColumn>
    <tableColumn id="7" xr3:uid="{7A30375B-0C7E-4578-A255-456ADDC2E1B9}" name="MiSeq Micro" dataDxfId="12">
      <calculatedColumnFormula>ROUNDDOWN(($G$7/Table6[[#This Row],[Coverage x Amplicons]])/2, 0)</calculatedColumnFormula>
    </tableColumn>
    <tableColumn id="8" xr3:uid="{D01E9326-AF0B-4C44-AEBB-82DC9BA85BA8}" name="MiSeq v2" dataDxfId="11">
      <calculatedColumnFormula>ROUNDDOWN(($G$8/Table6[[#This Row],[Coverage x Amplicons]])/2, 0)</calculatedColumnFormula>
    </tableColumn>
    <tableColumn id="9" xr3:uid="{0183DA4A-2A9D-44A3-B25F-96BE1A75A2B2}" name="MiSeq v3" dataDxfId="10">
      <calculatedColumnFormula>ROUNDDOWN(($G$9/Table6[[#This Row],[Coverage x Amplicons]])/2, 0)</calculatedColumnFormula>
    </tableColumn>
    <tableColumn id="10" xr3:uid="{422822B2-6A59-4D77-B60E-604FD1425C3F}" name="MiSeq Dx" dataDxfId="9"/>
    <tableColumn id="11" xr3:uid="{47BE918E-2068-4F37-B54C-9A58E4C98C90}" name="NextSeq Mid Output" dataDxfId="8">
      <calculatedColumnFormula>ROUNDDOWN(($G$11/Table6[[#This Row],[Coverage x Amplicons]])/2, 0)</calculatedColumnFormula>
    </tableColumn>
    <tableColumn id="12" xr3:uid="{DA3772C3-DB64-42F9-97EF-93AC092F2F3B}" name="NextSeq High Output" dataDxfId="7">
      <calculatedColumnFormula>ROUNDDOWN(($G$12/Table6[[#This Row],[Coverage x Amplicons]])/2, 0)</calculatedColumnFormula>
    </tableColumn>
    <tableColumn id="5" xr3:uid="{66F79521-6CEB-4534-BE5A-FF2F24CE6AC2}" name="MiniSeq Mid Output" dataDxfId="6">
      <calculatedColumnFormula>ROUNDDOWN(($G$4/Table6[[#This Row],[Coverage x Amplicons]])/2, 0)</calculatedColumnFormula>
    </tableColumn>
    <tableColumn id="15" xr3:uid="{BD07EBB4-9C50-475F-9EAA-F0C2872DBAB2}" name="MiniSeq High Output" dataDxfId="5">
      <calculatedColumnFormula>ROUNDDOWN(($G$5/Table6[[#This Row],[Coverage x Amplicons]])/2, 0)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17468A-CF2E-49A8-A60C-A980CA38F1E8}" name="Table49" displayName="Table49" ref="C2:H12" totalsRowShown="0" headerRowDxfId="42" dataDxfId="41">
  <autoFilter ref="C2:H12" xr:uid="{6C17468A-CF2E-49A8-A60C-A980CA38F1E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B4C081E-94BC-425A-B5CA-E205916025C3}" name="Sequencer" dataDxfId="40"/>
    <tableColumn id="3" xr3:uid="{5B42AE21-1136-4487-822D-B2C0F76F00C0}" name="Lower Limit (PE Reads)" dataDxfId="39"/>
    <tableColumn id="5" xr3:uid="{F7BDD9DD-E10B-436C-8602-4DB264424143}" name="Lower Limit of Output_x000a_(output * on-target) " dataDxfId="38">
      <calculatedColumnFormula>D3*$D$15</calculatedColumnFormula>
    </tableColumn>
    <tableColumn id="2" xr3:uid="{A08D0ACF-2D21-4CF9-BFB6-5D559C96ECA5}" name="Upper Limit of Output (PE reads) " dataDxfId="37"/>
    <tableColumn id="4" xr3:uid="{589767B5-4ECD-43A9-ABE5-979902BC3E1A}" name="Upper Limit of Output_x000a_(output * on-target) " dataDxfId="36">
      <calculatedColumnFormula>F3*$D$15</calculatedColumnFormula>
    </tableColumn>
    <tableColumn id="6" xr3:uid="{88DCAE97-CC76-4DD3-8B51-D5920FCC5B08}" name="Same Upper &amp; Lower Limit? " dataDxfId="35">
      <calculatedColumnFormula>Table49[[#This Row],[Lower Limit of Output
(output * on-target) ]]=Table49[[#This Row],[Upper Limit of Output
(output * on-target) ]]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9E81CD6-83E7-47B8-9605-96E94E18556C}" name="Table9" displayName="Table9" ref="C33:P36" totalsRowShown="0" headerRowDxfId="34" dataDxfId="33">
  <autoFilter ref="C33:P36" xr:uid="{D9E81CD6-83E7-47B8-9605-96E94E1855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F5DA164-9E53-450F-BED8-00A86407C527}" name="Panel" dataDxfId="32"/>
    <tableColumn id="2" xr3:uid="{6A45C1C3-1EF3-402C-AA5D-810324FBEE8A}" name="Recommended Coverage" dataDxfId="31"/>
    <tableColumn id="3" xr3:uid="{597C0E29-BEBC-4719-94E4-48C3071E3F35}" name="&quot;Coverage&quot; Used in Calc" dataDxfId="30">
      <calculatedColumnFormula>IF('Parameter Selection'!$C$4&lt;&gt;"Recommended", 'Parameter Selection'!$C$6,Table9[[#This Row],[Recommended Coverage]])</calculatedColumnFormula>
    </tableColumn>
    <tableColumn id="4" xr3:uid="{EB523292-0C3B-4746-AC3D-6361496394A4}" name="&lt;Custom cvg&gt;" dataDxfId="29">
      <calculatedColumnFormula>Table9[[#This Row],["Coverage" Used in Calc]]/Table9[[#This Row],[Recommended Coverage]]</calculatedColumnFormula>
    </tableColumn>
    <tableColumn id="5" xr3:uid="{5B1C7832-81C3-463E-9E31-0D3893B7B628}" name="Per Sample Read Depth" dataDxfId="28"/>
    <tableColumn id="6" xr3:uid="{0E063CAA-F3C4-4806-83F3-226A5D96638E}" name="MiSeq Nano" dataDxfId="27"/>
    <tableColumn id="7" xr3:uid="{BB5F353A-4972-4C54-A3A5-451363FA15E8}" name="MiSeq Micro" dataDxfId="26"/>
    <tableColumn id="8" xr3:uid="{142DB5D1-0C2C-4173-9200-A10A671E323D}" name="MiSeq v2" dataDxfId="25"/>
    <tableColumn id="9" xr3:uid="{894DB88C-9765-4A37-87C1-FED85E14A528}" name="MiSeq v3" dataDxfId="24"/>
    <tableColumn id="10" xr3:uid="{A6F26589-C8BB-468D-8F85-D197F84969A7}" name="MiSeq Dx" dataDxfId="23"/>
    <tableColumn id="11" xr3:uid="{19CCC1BA-6D1F-4F57-B3F7-A376DE98D659}" name="NextSeq Mid Output" dataDxfId="22"/>
    <tableColumn id="12" xr3:uid="{BDC009E9-D4F5-4B15-85AA-9277F4FD26A3}" name="NextSeq High Output" dataDxfId="21"/>
    <tableColumn id="14" xr3:uid="{5A36F971-0978-4DC1-A8D7-2CD241AB6F2F}" name="MiniSeq Mid Output" dataDxfId="20">
      <calculatedColumnFormula>ROUNDDOWN(($G$4/Table9[[#This Row],[Per Sample Read Depth]])/2, 0)</calculatedColumnFormula>
    </tableColumn>
    <tableColumn id="15" xr3:uid="{9FB98BA1-2745-4C27-A797-1E27CAC54313}" name="MiniSeq High Output" dataDxfId="19">
      <calculatedColumnFormula>ROUNDDOWN(($G$5/Table9[[#This Row],[Per Sample Read Depth]])/2, 0)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2023 Pillar">
      <a:dk1>
        <a:srgbClr val="22262B"/>
      </a:dk1>
      <a:lt1>
        <a:sysClr val="window" lastClr="FFFFFF"/>
      </a:lt1>
      <a:dk2>
        <a:srgbClr val="22262B"/>
      </a:dk2>
      <a:lt2>
        <a:srgbClr val="CCCCCC"/>
      </a:lt2>
      <a:accent1>
        <a:srgbClr val="0B5BB2"/>
      </a:accent1>
      <a:accent2>
        <a:srgbClr val="0C9AE2"/>
      </a:accent2>
      <a:accent3>
        <a:srgbClr val="3FD0FC"/>
      </a:accent3>
      <a:accent4>
        <a:srgbClr val="79BF00"/>
      </a:accent4>
      <a:accent5>
        <a:srgbClr val="8081D1"/>
      </a:accent5>
      <a:accent6>
        <a:srgbClr val="F79646"/>
      </a:accent6>
      <a:hlink>
        <a:srgbClr val="0B5BB2"/>
      </a:hlink>
      <a:folHlink>
        <a:srgbClr val="8081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AEFB-D672-418E-83B6-3EABBD614298}">
  <sheetPr codeName="Sheet1"/>
  <dimension ref="B2:J17"/>
  <sheetViews>
    <sheetView tabSelected="1" zoomScale="130" zoomScaleNormal="130" workbookViewId="0">
      <selection activeCell="G15" sqref="G15"/>
    </sheetView>
  </sheetViews>
  <sheetFormatPr defaultColWidth="9.140625" defaultRowHeight="11.25" x14ac:dyDescent="0.25"/>
  <cols>
    <col min="1" max="1" width="2.5703125" style="42" customWidth="1"/>
    <col min="2" max="2" width="39.85546875" style="42" customWidth="1"/>
    <col min="3" max="3" width="64" style="43" customWidth="1"/>
    <col min="4" max="4" width="1.85546875" style="42" customWidth="1"/>
    <col min="5" max="5" width="2.28515625" style="42" customWidth="1"/>
    <col min="6" max="6" width="1.42578125" style="42" customWidth="1"/>
    <col min="7" max="7" width="92.85546875" style="44" customWidth="1"/>
    <col min="8" max="16384" width="9.140625" style="42"/>
  </cols>
  <sheetData>
    <row r="2" spans="2:9" ht="6" customHeight="1" x14ac:dyDescent="0.25"/>
    <row r="3" spans="2:9" ht="15.75" x14ac:dyDescent="0.25">
      <c r="B3" s="48" t="s">
        <v>0</v>
      </c>
      <c r="C3" s="49" t="s">
        <v>24</v>
      </c>
      <c r="D3" s="50"/>
      <c r="G3" s="47" t="s">
        <v>69</v>
      </c>
      <c r="H3" s="45"/>
      <c r="I3" s="45"/>
    </row>
    <row r="4" spans="2:9" ht="15.75" x14ac:dyDescent="0.25">
      <c r="B4" s="48" t="s">
        <v>1</v>
      </c>
      <c r="C4" s="49" t="s">
        <v>29</v>
      </c>
      <c r="D4" s="50"/>
      <c r="G4" s="46" t="s">
        <v>56</v>
      </c>
    </row>
    <row r="5" spans="2:9" ht="23.25" customHeight="1" x14ac:dyDescent="0.25">
      <c r="B5" s="48" t="s">
        <v>26</v>
      </c>
      <c r="C5" s="51" t="str">
        <f>IFERROR(Calculations!D25, "")</f>
        <v/>
      </c>
      <c r="D5" s="50"/>
      <c r="G5" s="46" t="s">
        <v>64</v>
      </c>
    </row>
    <row r="6" spans="2:9" ht="15.75" x14ac:dyDescent="0.25">
      <c r="B6" s="52" t="s">
        <v>2</v>
      </c>
      <c r="C6" s="53"/>
      <c r="D6" s="50"/>
      <c r="G6" s="46" t="s">
        <v>57</v>
      </c>
    </row>
    <row r="7" spans="2:9" ht="15.75" x14ac:dyDescent="0.25">
      <c r="B7" s="52" t="s">
        <v>33</v>
      </c>
      <c r="C7" s="71">
        <v>0.9</v>
      </c>
      <c r="D7" s="50"/>
      <c r="G7" s="46" t="s">
        <v>55</v>
      </c>
    </row>
    <row r="8" spans="2:9" ht="15.75" x14ac:dyDescent="0.25">
      <c r="B8" s="48" t="s">
        <v>3</v>
      </c>
      <c r="C8" s="53" t="s">
        <v>53</v>
      </c>
      <c r="D8" s="50"/>
      <c r="G8" s="46" t="s">
        <v>58</v>
      </c>
    </row>
    <row r="9" spans="2:9" ht="15.75" x14ac:dyDescent="0.25">
      <c r="B9" s="48" t="s">
        <v>4</v>
      </c>
      <c r="C9" s="49" t="s">
        <v>15</v>
      </c>
      <c r="D9" s="50"/>
      <c r="G9" s="46"/>
    </row>
    <row r="10" spans="2:9" ht="15.75" x14ac:dyDescent="0.25">
      <c r="B10" s="78" t="s">
        <v>5</v>
      </c>
      <c r="C10" s="79" t="str">
        <f>IFERROR(Calculations!$D$23, "")</f>
        <v/>
      </c>
      <c r="D10" s="50"/>
      <c r="G10" s="46"/>
    </row>
    <row r="11" spans="2:9" ht="15.75" x14ac:dyDescent="0.25">
      <c r="B11" s="50"/>
      <c r="C11" s="54"/>
      <c r="D11" s="50"/>
      <c r="G11" s="46"/>
    </row>
    <row r="12" spans="2:9" ht="15.75" x14ac:dyDescent="0.25">
      <c r="B12" s="57" t="s">
        <v>66</v>
      </c>
      <c r="C12" s="57"/>
      <c r="D12" s="50"/>
      <c r="G12" s="46"/>
    </row>
    <row r="13" spans="2:9" ht="37.5" customHeight="1" x14ac:dyDescent="0.25">
      <c r="B13" s="57"/>
      <c r="C13" s="57"/>
      <c r="D13" s="50"/>
      <c r="G13" s="46"/>
    </row>
    <row r="15" spans="2:9" ht="27" customHeight="1" x14ac:dyDescent="0.25">
      <c r="B15" s="80" t="str">
        <f>IF(C3&lt;&gt; "oncoReveal™ Multi-Cancer with CNV and RNA Fusion Panel", "", Calculations!$C$52)</f>
        <v/>
      </c>
      <c r="C15" s="80"/>
    </row>
    <row r="16" spans="2:9" ht="19.5" customHeight="1" x14ac:dyDescent="0.25">
      <c r="B16" s="80"/>
      <c r="C16" s="80"/>
    </row>
    <row r="17" spans="2:3" ht="24.75" customHeight="1" x14ac:dyDescent="0.25">
      <c r="B17" s="80"/>
      <c r="C17" s="80"/>
    </row>
  </sheetData>
  <sheetProtection algorithmName="SHA-512" hashValue="3i2ew39FotW8Z0tiFQ8mJQkxArn0dFp6kyQu8VrPnlAQ4inoBAjxU1JRWvI219YxsiqE7ZJNKAB27JlHZzhx+A==" saltValue="Xn8SCr2Hbsb4mw4tXde9Qw==" spinCount="100000" sheet="1" objects="1" scenarios="1"/>
  <mergeCells count="2">
    <mergeCell ref="B12:C13"/>
    <mergeCell ref="B15:C17"/>
  </mergeCells>
  <conditionalFormatting sqref="B5:C5">
    <cfRule type="expression" dxfId="3" priority="3">
      <formula>$C$4&lt;&gt;"Recommended"</formula>
    </cfRule>
  </conditionalFormatting>
  <conditionalFormatting sqref="B6:C6">
    <cfRule type="expression" dxfId="2" priority="12">
      <formula>$C$4="Custom"</formula>
    </cfRule>
    <cfRule type="expression" dxfId="1" priority="13">
      <formula>$C$4 = "Recommended"</formula>
    </cfRule>
  </conditionalFormatting>
  <conditionalFormatting sqref="B15:C17">
    <cfRule type="expression" dxfId="0" priority="2">
      <formula>$C$3="oncoReveal™ Multi-Cancer with CNV and RNA Fusion Panel"</formula>
    </cfRule>
  </conditionalFormatting>
  <dataValidations count="4">
    <dataValidation type="custom" allowBlank="1" showInputMessage="1" showErrorMessage="1" errorTitle="Protected Cell" error="If you would like to edit this cell, please be sure to choose &quot;Recommended&quot; in the field where you can choose coverage. " sqref="C6" xr:uid="{F426D149-FA33-409F-885F-090637380E35}">
      <formula1>C4 = "Custom"</formula1>
    </dataValidation>
    <dataValidation type="whole" operator="greaterThan" allowBlank="1" showInputMessage="1" showErrorMessage="1" sqref="C10" xr:uid="{0F35570D-4B58-4962-A263-C840EFD7E486}">
      <formula1>0</formula1>
    </dataValidation>
    <dataValidation type="list" allowBlank="1" showInputMessage="1" showErrorMessage="1" sqref="C9" xr:uid="{F1D26AD1-795F-48C7-9945-75D45E709C18}">
      <formula1>INDIRECT(C8)</formula1>
    </dataValidation>
    <dataValidation type="list" allowBlank="1" showInputMessage="1" showErrorMessage="1" sqref="C8" xr:uid="{4D561A33-999B-4E2A-9412-B34E067006DC}">
      <formula1>Platform</formula1>
    </dataValidation>
  </dataValidations>
  <pageMargins left="0.7" right="0.7" top="0.75" bottom="0.75" header="0.3" footer="0.3"/>
  <pageSetup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85F6B2-4DF6-4099-9E2D-FA01FE41325B}">
          <x14:formula1>
            <xm:f>Lists!$I$3:$I$4</xm:f>
          </x14:formula1>
          <xm:sqref>C4</xm:sqref>
        </x14:dataValidation>
        <x14:dataValidation type="list" allowBlank="1" showErrorMessage="1" prompt="Please select a panel from among the following categories: _x000a_Blood Cancers _x000a_BRCA, HRD, Methylation_x000a_Infectious Disease &amp; Inherited Disease_x000a_Solid Tumor - IVD_x000a_Solid Tumor - Liquid Biospy_x000a_Solid Tumor - Tissue" xr:uid="{225ED352-94C2-438E-871D-10C639DC945C}">
          <x14:formula1>
            <xm:f>Lists!$G$3:$G$9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0F67-1A3A-434B-8609-FA2500C1E8F5}">
  <sheetPr codeName="Sheet2"/>
  <dimension ref="B2:O12"/>
  <sheetViews>
    <sheetView workbookViewId="0">
      <selection activeCell="L28" sqref="L28"/>
    </sheetView>
  </sheetViews>
  <sheetFormatPr defaultRowHeight="15" x14ac:dyDescent="0.25"/>
  <cols>
    <col min="2" max="2" width="16" bestFit="1" customWidth="1"/>
    <col min="3" max="3" width="7.140625" customWidth="1"/>
    <col min="4" max="4" width="20" bestFit="1" customWidth="1"/>
    <col min="5" max="6" width="6" customWidth="1"/>
    <col min="7" max="7" width="66.5703125" customWidth="1"/>
    <col min="8" max="8" width="6.85546875" customWidth="1"/>
    <col min="9" max="9" width="14.5703125" bestFit="1" customWidth="1"/>
    <col min="12" max="12" width="16" bestFit="1" customWidth="1"/>
    <col min="13" max="13" width="19.7109375" bestFit="1" customWidth="1"/>
    <col min="14" max="14" width="19.5703125" bestFit="1" customWidth="1"/>
    <col min="15" max="15" width="20" bestFit="1" customWidth="1"/>
  </cols>
  <sheetData>
    <row r="2" spans="2:15" x14ac:dyDescent="0.25">
      <c r="B2" s="4" t="s">
        <v>6</v>
      </c>
      <c r="C2" s="2"/>
      <c r="D2" s="4" t="s">
        <v>13</v>
      </c>
      <c r="G2" s="16" t="s">
        <v>21</v>
      </c>
      <c r="I2" s="3" t="s">
        <v>28</v>
      </c>
      <c r="L2" t="s">
        <v>31</v>
      </c>
      <c r="M2" t="s">
        <v>11</v>
      </c>
      <c r="N2" t="s">
        <v>11</v>
      </c>
      <c r="O2" t="s">
        <v>53</v>
      </c>
    </row>
    <row r="3" spans="2:15" x14ac:dyDescent="0.25">
      <c r="B3" s="4"/>
      <c r="C3" s="2"/>
      <c r="D3" s="4"/>
      <c r="G3" s="16" t="s">
        <v>24</v>
      </c>
      <c r="I3" s="1" t="s">
        <v>29</v>
      </c>
      <c r="L3" t="s">
        <v>52</v>
      </c>
      <c r="M3" t="s">
        <v>50</v>
      </c>
      <c r="N3" t="s">
        <v>7</v>
      </c>
      <c r="O3" t="s">
        <v>15</v>
      </c>
    </row>
    <row r="4" spans="2:15" x14ac:dyDescent="0.25">
      <c r="B4" s="40" t="s">
        <v>52</v>
      </c>
      <c r="D4" s="40" t="s">
        <v>50</v>
      </c>
      <c r="G4" s="17" t="s">
        <v>18</v>
      </c>
      <c r="I4" s="1" t="s">
        <v>30</v>
      </c>
      <c r="L4" t="s">
        <v>11</v>
      </c>
      <c r="M4" t="s">
        <v>51</v>
      </c>
      <c r="N4" t="s">
        <v>8</v>
      </c>
      <c r="O4" t="s">
        <v>16</v>
      </c>
    </row>
    <row r="5" spans="2:15" x14ac:dyDescent="0.25">
      <c r="B5" s="1" t="s">
        <v>11</v>
      </c>
      <c r="D5" s="40" t="s">
        <v>51</v>
      </c>
      <c r="G5" s="17" t="s">
        <v>17</v>
      </c>
      <c r="L5" t="s">
        <v>53</v>
      </c>
      <c r="N5" t="s">
        <v>9</v>
      </c>
    </row>
    <row r="6" spans="2:15" x14ac:dyDescent="0.25">
      <c r="B6" s="1" t="s">
        <v>12</v>
      </c>
      <c r="D6" s="1" t="s">
        <v>7</v>
      </c>
      <c r="G6" s="17" t="s">
        <v>20</v>
      </c>
      <c r="N6" t="s">
        <v>10</v>
      </c>
    </row>
    <row r="7" spans="2:15" x14ac:dyDescent="0.25">
      <c r="D7" s="1" t="s">
        <v>8</v>
      </c>
      <c r="G7" s="17" t="s">
        <v>65</v>
      </c>
      <c r="N7" t="s">
        <v>14</v>
      </c>
    </row>
    <row r="8" spans="2:15" x14ac:dyDescent="0.25">
      <c r="D8" s="1" t="s">
        <v>9</v>
      </c>
      <c r="G8" s="17" t="s">
        <v>60</v>
      </c>
    </row>
    <row r="9" spans="2:15" x14ac:dyDescent="0.25">
      <c r="D9" s="1" t="s">
        <v>10</v>
      </c>
      <c r="G9" s="17" t="s">
        <v>19</v>
      </c>
    </row>
    <row r="10" spans="2:15" x14ac:dyDescent="0.25">
      <c r="D10" s="1" t="s">
        <v>14</v>
      </c>
    </row>
    <row r="11" spans="2:15" x14ac:dyDescent="0.25">
      <c r="D11" s="1" t="s">
        <v>15</v>
      </c>
    </row>
    <row r="12" spans="2:15" x14ac:dyDescent="0.25">
      <c r="D12" s="1" t="s">
        <v>16</v>
      </c>
    </row>
  </sheetData>
  <dataValidations count="1">
    <dataValidation type="list" allowBlank="1" showInputMessage="1" showErrorMessage="1" sqref="L2:O2" xr:uid="{4D561A33-999B-4E2A-9412-B34E067006DC}">
      <formula1>Platform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3D8A2-CE13-4305-9744-A1DDF2D32756}">
  <sheetPr codeName="Sheet3"/>
  <dimension ref="A2:N44"/>
  <sheetViews>
    <sheetView topLeftCell="D1" workbookViewId="0">
      <selection activeCell="I22" sqref="I22"/>
    </sheetView>
  </sheetViews>
  <sheetFormatPr defaultColWidth="9.140625" defaultRowHeight="18" x14ac:dyDescent="0.25"/>
  <cols>
    <col min="1" max="1" width="32.85546875" style="10" bestFit="1" customWidth="1"/>
    <col min="2" max="2" width="41.28515625" style="5" bestFit="1" customWidth="1"/>
    <col min="3" max="3" width="27.42578125" style="5" bestFit="1" customWidth="1"/>
    <col min="4" max="4" width="40" style="5" customWidth="1"/>
    <col min="5" max="5" width="24.5703125" style="5" customWidth="1"/>
    <col min="6" max="6" width="34.5703125" style="5" customWidth="1"/>
    <col min="7" max="7" width="9.140625" style="5"/>
    <col min="8" max="8" width="23" style="5" bestFit="1" customWidth="1"/>
    <col min="9" max="9" width="33.140625" style="5" bestFit="1" customWidth="1"/>
    <col min="10" max="10" width="11.5703125" style="5" customWidth="1"/>
    <col min="11" max="12" width="9.140625" style="5"/>
    <col min="13" max="13" width="58" style="5" bestFit="1" customWidth="1"/>
    <col min="14" max="14" width="55.7109375" style="5" bestFit="1" customWidth="1"/>
    <col min="15" max="16384" width="9.140625" style="5"/>
  </cols>
  <sheetData>
    <row r="2" spans="8:14" ht="15" x14ac:dyDescent="0.25">
      <c r="H2" s="14" t="s">
        <v>23</v>
      </c>
      <c r="I2" s="15" t="s">
        <v>25</v>
      </c>
      <c r="J2" s="58"/>
      <c r="M2" s="16" t="s">
        <v>36</v>
      </c>
      <c r="N2" s="4" t="s">
        <v>40</v>
      </c>
    </row>
    <row r="3" spans="8:14" ht="15" x14ac:dyDescent="0.25">
      <c r="H3" s="9" t="s">
        <v>24</v>
      </c>
      <c r="I3" s="8"/>
      <c r="J3" s="59"/>
      <c r="M3" s="16" t="s">
        <v>24</v>
      </c>
      <c r="N3" s="6"/>
    </row>
    <row r="4" spans="8:14" ht="15" x14ac:dyDescent="0.25">
      <c r="H4" s="9" t="s">
        <v>50</v>
      </c>
      <c r="I4" s="8">
        <v>16</v>
      </c>
      <c r="J4" s="59"/>
      <c r="M4" s="22" t="s">
        <v>47</v>
      </c>
      <c r="N4" s="6" t="s">
        <v>41</v>
      </c>
    </row>
    <row r="5" spans="8:14" ht="15" x14ac:dyDescent="0.25">
      <c r="H5" s="9" t="s">
        <v>51</v>
      </c>
      <c r="I5" s="8">
        <v>50</v>
      </c>
      <c r="J5" s="59"/>
      <c r="M5" s="22" t="s">
        <v>17</v>
      </c>
      <c r="N5" s="6" t="s">
        <v>42</v>
      </c>
    </row>
    <row r="6" spans="8:14" ht="15" x14ac:dyDescent="0.25">
      <c r="H6" s="9" t="s">
        <v>7</v>
      </c>
      <c r="I6" s="8">
        <v>2</v>
      </c>
      <c r="J6" s="59"/>
      <c r="M6" s="22" t="s">
        <v>20</v>
      </c>
      <c r="N6" s="6" t="s">
        <v>43</v>
      </c>
    </row>
    <row r="7" spans="8:14" ht="15" x14ac:dyDescent="0.25">
      <c r="H7" s="9" t="s">
        <v>8</v>
      </c>
      <c r="I7" s="8">
        <v>8</v>
      </c>
      <c r="J7" s="59"/>
      <c r="M7" s="22" t="s">
        <v>65</v>
      </c>
      <c r="N7" s="6" t="s">
        <v>14</v>
      </c>
    </row>
    <row r="8" spans="8:14" ht="15" x14ac:dyDescent="0.25">
      <c r="H8" s="9" t="s">
        <v>9</v>
      </c>
      <c r="I8" s="8">
        <v>30</v>
      </c>
      <c r="J8" s="59"/>
      <c r="M8" s="17" t="s">
        <v>60</v>
      </c>
      <c r="N8" s="6" t="s">
        <v>45</v>
      </c>
    </row>
    <row r="9" spans="8:14" ht="15" x14ac:dyDescent="0.25">
      <c r="H9" s="9" t="s">
        <v>10</v>
      </c>
      <c r="I9" s="8">
        <v>50</v>
      </c>
      <c r="J9" s="59"/>
      <c r="M9" s="22" t="s">
        <v>19</v>
      </c>
      <c r="N9" s="6" t="s">
        <v>44</v>
      </c>
    </row>
    <row r="10" spans="8:14" ht="15" x14ac:dyDescent="0.25">
      <c r="H10" s="9" t="s">
        <v>14</v>
      </c>
      <c r="I10" s="8">
        <v>30</v>
      </c>
      <c r="J10" s="59"/>
    </row>
    <row r="11" spans="8:14" ht="15" x14ac:dyDescent="0.25">
      <c r="H11" s="9" t="s">
        <v>15</v>
      </c>
      <c r="I11" s="8">
        <v>260</v>
      </c>
      <c r="J11" s="59"/>
    </row>
    <row r="12" spans="8:14" ht="15" x14ac:dyDescent="0.25">
      <c r="H12" s="11" t="s">
        <v>16</v>
      </c>
      <c r="I12" s="12">
        <v>800</v>
      </c>
      <c r="J12" s="59"/>
    </row>
    <row r="38" spans="1:1" ht="15" x14ac:dyDescent="0.25">
      <c r="A38" s="5"/>
    </row>
    <row r="39" spans="1:1" ht="15" x14ac:dyDescent="0.25">
      <c r="A39" s="5"/>
    </row>
    <row r="40" spans="1:1" ht="15" x14ac:dyDescent="0.25">
      <c r="A40" s="5"/>
    </row>
    <row r="41" spans="1:1" ht="15" x14ac:dyDescent="0.25">
      <c r="A41" s="5"/>
    </row>
    <row r="42" spans="1:1" ht="15" x14ac:dyDescent="0.25">
      <c r="A42" s="5"/>
    </row>
    <row r="43" spans="1:1" ht="15" x14ac:dyDescent="0.25">
      <c r="A43" s="5"/>
    </row>
    <row r="44" spans="1:1" ht="15" x14ac:dyDescent="0.25">
      <c r="A44" s="5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92D4-2E57-453C-8456-965B814575BB}">
  <sheetPr codeName="Sheet5"/>
  <dimension ref="B2:S84"/>
  <sheetViews>
    <sheetView topLeftCell="A6" zoomScale="80" zoomScaleNormal="80" workbookViewId="0">
      <selection activeCell="C53" sqref="C53"/>
    </sheetView>
  </sheetViews>
  <sheetFormatPr defaultColWidth="9.140625" defaultRowHeight="15" x14ac:dyDescent="0.25"/>
  <cols>
    <col min="1" max="2" width="9.140625" style="5"/>
    <col min="3" max="3" width="54.7109375" style="5" bestFit="1" customWidth="1"/>
    <col min="4" max="4" width="59.85546875" style="10" bestFit="1" customWidth="1"/>
    <col min="5" max="5" width="26.5703125" style="5" bestFit="1" customWidth="1"/>
    <col min="6" max="6" width="31.28515625" style="5" bestFit="1" customWidth="1"/>
    <col min="7" max="7" width="23.85546875" style="5" customWidth="1"/>
    <col min="8" max="8" width="27.140625" style="10" bestFit="1" customWidth="1"/>
    <col min="9" max="9" width="50.7109375" style="10" bestFit="1" customWidth="1"/>
    <col min="10" max="10" width="75.85546875" style="10" bestFit="1" customWidth="1"/>
    <col min="11" max="11" width="52.7109375" style="10" bestFit="1" customWidth="1"/>
    <col min="12" max="12" width="20.42578125" style="13" bestFit="1" customWidth="1"/>
    <col min="13" max="13" width="18.7109375" style="10" bestFit="1" customWidth="1"/>
    <col min="14" max="14" width="22.42578125" style="10" bestFit="1" customWidth="1"/>
    <col min="15" max="15" width="23.140625" style="5" bestFit="1" customWidth="1"/>
    <col min="16" max="16" width="23.140625" style="5" customWidth="1"/>
    <col min="17" max="17" width="9.140625" style="5"/>
    <col min="18" max="18" width="21.5703125" style="5" bestFit="1" customWidth="1"/>
    <col min="19" max="19" width="30.140625" style="5" bestFit="1" customWidth="1"/>
    <col min="20" max="20" width="25.28515625" style="5" bestFit="1" customWidth="1"/>
    <col min="21" max="21" width="16.28515625" style="5" bestFit="1" customWidth="1"/>
    <col min="22" max="22" width="26.7109375" style="5" bestFit="1" customWidth="1"/>
    <col min="23" max="23" width="18" style="5" customWidth="1"/>
    <col min="24" max="25" width="16.85546875" style="5" customWidth="1"/>
    <col min="26" max="26" width="18.140625" style="5" customWidth="1"/>
    <col min="27" max="27" width="20.85546875" style="5" customWidth="1"/>
    <col min="28" max="28" width="16.5703125" style="5" customWidth="1"/>
    <col min="29" max="29" width="17.42578125" style="5" customWidth="1"/>
    <col min="30" max="16384" width="9.140625" style="5"/>
  </cols>
  <sheetData>
    <row r="2" spans="3:16" ht="30" x14ac:dyDescent="0.25">
      <c r="C2" s="24" t="s">
        <v>23</v>
      </c>
      <c r="D2" s="24" t="s">
        <v>61</v>
      </c>
      <c r="E2" s="33" t="s">
        <v>62</v>
      </c>
      <c r="F2" s="23" t="s">
        <v>35</v>
      </c>
      <c r="G2" s="33" t="s">
        <v>34</v>
      </c>
      <c r="H2" s="10" t="s">
        <v>63</v>
      </c>
      <c r="I2" s="5"/>
      <c r="L2" s="10"/>
      <c r="N2" s="13"/>
      <c r="O2" s="10"/>
      <c r="P2" s="10"/>
    </row>
    <row r="3" spans="3:16" x14ac:dyDescent="0.25">
      <c r="C3" s="10" t="s">
        <v>24</v>
      </c>
      <c r="E3" s="10"/>
      <c r="F3" s="21"/>
      <c r="G3" s="24"/>
      <c r="I3" s="5"/>
      <c r="L3" s="10"/>
      <c r="N3" s="13"/>
      <c r="O3" s="10"/>
      <c r="P3" s="10"/>
    </row>
    <row r="4" spans="3:16" x14ac:dyDescent="0.25">
      <c r="C4" s="10" t="s">
        <v>50</v>
      </c>
      <c r="D4" s="55">
        <v>16000000</v>
      </c>
      <c r="E4" s="56">
        <f t="shared" ref="E4:E12" si="0">D4*$D$15</f>
        <v>14400000</v>
      </c>
      <c r="F4" s="21">
        <v>16000000</v>
      </c>
      <c r="G4" s="23">
        <f>F4*$D$15</f>
        <v>14400000</v>
      </c>
      <c r="H4" s="10" t="b">
        <f>Table49[[#This Row],[Lower Limit of Output
(output * on-target) ]]=Table49[[#This Row],[Upper Limit of Output
(output * on-target) ]]</f>
        <v>1</v>
      </c>
      <c r="I4" s="5"/>
      <c r="L4" s="10"/>
      <c r="N4" s="13"/>
      <c r="O4" s="10"/>
      <c r="P4" s="10"/>
    </row>
    <row r="5" spans="3:16" x14ac:dyDescent="0.25">
      <c r="C5" s="10" t="s">
        <v>51</v>
      </c>
      <c r="D5" s="55">
        <v>25000000</v>
      </c>
      <c r="E5" s="56">
        <f t="shared" si="0"/>
        <v>22500000</v>
      </c>
      <c r="F5" s="21">
        <v>50000000</v>
      </c>
      <c r="G5" s="23">
        <f t="shared" ref="G5" si="1">F5*$D$15</f>
        <v>45000000</v>
      </c>
      <c r="H5" s="10" t="b">
        <f>Table49[[#This Row],[Lower Limit of Output
(output * on-target) ]]=Table49[[#This Row],[Upper Limit of Output
(output * on-target) ]]</f>
        <v>0</v>
      </c>
      <c r="I5" s="5"/>
      <c r="L5" s="10"/>
      <c r="N5" s="13"/>
      <c r="O5" s="10"/>
      <c r="P5" s="10"/>
    </row>
    <row r="6" spans="3:16" x14ac:dyDescent="0.25">
      <c r="C6" s="10" t="s">
        <v>7</v>
      </c>
      <c r="D6" s="55">
        <v>2000000</v>
      </c>
      <c r="E6" s="56">
        <f t="shared" si="0"/>
        <v>1800000</v>
      </c>
      <c r="F6" s="21">
        <v>2000000</v>
      </c>
      <c r="G6" s="23">
        <f t="shared" ref="G6:G12" si="2">F6*$D$15</f>
        <v>1800000</v>
      </c>
      <c r="H6" s="10" t="b">
        <f>Table49[[#This Row],[Lower Limit of Output
(output * on-target) ]]=Table49[[#This Row],[Upper Limit of Output
(output * on-target) ]]</f>
        <v>1</v>
      </c>
      <c r="I6" s="5"/>
      <c r="L6" s="10"/>
      <c r="N6" s="13"/>
      <c r="O6" s="10"/>
      <c r="P6" s="10"/>
    </row>
    <row r="7" spans="3:16" x14ac:dyDescent="0.25">
      <c r="C7" s="10" t="s">
        <v>8</v>
      </c>
      <c r="D7" s="55">
        <v>8000000</v>
      </c>
      <c r="E7" s="56">
        <f t="shared" si="0"/>
        <v>7200000</v>
      </c>
      <c r="F7" s="21">
        <v>8000000</v>
      </c>
      <c r="G7" s="23">
        <f t="shared" si="2"/>
        <v>7200000</v>
      </c>
      <c r="H7" s="10" t="b">
        <f>Table49[[#This Row],[Lower Limit of Output
(output * on-target) ]]=Table49[[#This Row],[Upper Limit of Output
(output * on-target) ]]</f>
        <v>1</v>
      </c>
      <c r="I7" s="5"/>
      <c r="L7" s="10"/>
      <c r="N7" s="13"/>
      <c r="O7" s="10"/>
      <c r="P7" s="10"/>
    </row>
    <row r="8" spans="3:16" x14ac:dyDescent="0.25">
      <c r="C8" s="10" t="s">
        <v>9</v>
      </c>
      <c r="D8" s="55">
        <v>24000000</v>
      </c>
      <c r="E8" s="56">
        <f t="shared" si="0"/>
        <v>21600000</v>
      </c>
      <c r="F8" s="21">
        <v>30000000</v>
      </c>
      <c r="G8" s="23">
        <f t="shared" si="2"/>
        <v>27000000</v>
      </c>
      <c r="H8" s="10" t="b">
        <f>Table49[[#This Row],[Lower Limit of Output
(output * on-target) ]]=Table49[[#This Row],[Upper Limit of Output
(output * on-target) ]]</f>
        <v>0</v>
      </c>
      <c r="I8" s="5"/>
      <c r="L8" s="10"/>
      <c r="N8" s="13"/>
      <c r="O8" s="10"/>
      <c r="P8" s="10"/>
    </row>
    <row r="9" spans="3:16" x14ac:dyDescent="0.25">
      <c r="C9" s="10" t="s">
        <v>10</v>
      </c>
      <c r="D9" s="55">
        <v>44000000</v>
      </c>
      <c r="E9" s="56">
        <f t="shared" si="0"/>
        <v>39600000</v>
      </c>
      <c r="F9" s="21">
        <v>50000000</v>
      </c>
      <c r="G9" s="23">
        <f t="shared" si="2"/>
        <v>45000000</v>
      </c>
      <c r="H9" s="10" t="b">
        <f>Table49[[#This Row],[Lower Limit of Output
(output * on-target) ]]=Table49[[#This Row],[Upper Limit of Output
(output * on-target) ]]</f>
        <v>0</v>
      </c>
      <c r="I9" s="5"/>
      <c r="L9" s="10"/>
      <c r="N9" s="13"/>
      <c r="O9" s="10"/>
      <c r="P9" s="10"/>
    </row>
    <row r="10" spans="3:16" x14ac:dyDescent="0.25">
      <c r="C10" s="10" t="s">
        <v>14</v>
      </c>
      <c r="D10" s="55">
        <v>30000000</v>
      </c>
      <c r="E10" s="56">
        <f t="shared" si="0"/>
        <v>27000000</v>
      </c>
      <c r="F10" s="21">
        <v>30000000</v>
      </c>
      <c r="G10" s="23">
        <f t="shared" si="2"/>
        <v>27000000</v>
      </c>
      <c r="H10" s="10" t="b">
        <f>Table49[[#This Row],[Lower Limit of Output
(output * on-target) ]]=Table49[[#This Row],[Upper Limit of Output
(output * on-target) ]]</f>
        <v>1</v>
      </c>
      <c r="I10" s="5"/>
      <c r="L10" s="10"/>
      <c r="N10" s="13"/>
      <c r="O10" s="10"/>
      <c r="P10" s="10"/>
    </row>
    <row r="11" spans="3:16" x14ac:dyDescent="0.25">
      <c r="C11" s="10" t="s">
        <v>15</v>
      </c>
      <c r="D11" s="55">
        <v>260000000</v>
      </c>
      <c r="E11" s="56">
        <f t="shared" si="0"/>
        <v>234000000</v>
      </c>
      <c r="F11" s="21">
        <v>260000000</v>
      </c>
      <c r="G11" s="23">
        <f t="shared" si="2"/>
        <v>234000000</v>
      </c>
      <c r="H11" s="10" t="b">
        <f>Table49[[#This Row],[Lower Limit of Output
(output * on-target) ]]=Table49[[#This Row],[Upper Limit of Output
(output * on-target) ]]</f>
        <v>1</v>
      </c>
      <c r="I11" s="5"/>
      <c r="L11" s="10"/>
      <c r="N11" s="13"/>
      <c r="O11" s="10"/>
      <c r="P11" s="10"/>
    </row>
    <row r="12" spans="3:16" x14ac:dyDescent="0.25">
      <c r="C12" s="10" t="s">
        <v>16</v>
      </c>
      <c r="D12" s="55">
        <v>800000000</v>
      </c>
      <c r="E12" s="56">
        <f t="shared" si="0"/>
        <v>720000000</v>
      </c>
      <c r="F12" s="21">
        <v>800000000</v>
      </c>
      <c r="G12" s="23">
        <f t="shared" si="2"/>
        <v>720000000</v>
      </c>
      <c r="H12" s="10" t="b">
        <f>Table49[[#This Row],[Lower Limit of Output
(output * on-target) ]]=Table49[[#This Row],[Upper Limit of Output
(output * on-target) ]]</f>
        <v>1</v>
      </c>
      <c r="I12" s="5"/>
      <c r="L12" s="10"/>
      <c r="N12" s="13"/>
      <c r="O12" s="10"/>
      <c r="P12" s="10"/>
    </row>
    <row r="13" spans="3:16" x14ac:dyDescent="0.25">
      <c r="H13"/>
      <c r="I13"/>
      <c r="J13"/>
      <c r="K13"/>
      <c r="L13"/>
      <c r="M13"/>
      <c r="N13"/>
      <c r="O13"/>
      <c r="P13"/>
    </row>
    <row r="15" spans="3:16" x14ac:dyDescent="0.25">
      <c r="C15" s="18" t="s">
        <v>33</v>
      </c>
      <c r="D15" s="30">
        <f>'Parameter Selection'!$C$7</f>
        <v>0.9</v>
      </c>
    </row>
    <row r="16" spans="3:16" x14ac:dyDescent="0.25">
      <c r="C16" s="34" t="s">
        <v>28</v>
      </c>
      <c r="D16" s="31" t="str">
        <f>'Parameter Selection'!$C$4</f>
        <v>Recommended</v>
      </c>
    </row>
    <row r="17" spans="2:18" x14ac:dyDescent="0.25">
      <c r="F17" s="10"/>
      <c r="G17" s="10"/>
      <c r="H17" s="5"/>
      <c r="I17" s="5"/>
      <c r="J17" s="5"/>
      <c r="K17" s="5"/>
      <c r="L17" s="5"/>
    </row>
    <row r="18" spans="2:18" x14ac:dyDescent="0.25">
      <c r="F18" s="10"/>
      <c r="G18" s="10"/>
      <c r="H18" s="5"/>
      <c r="I18" s="5"/>
      <c r="J18" s="5"/>
      <c r="K18" s="5"/>
      <c r="L18" s="5"/>
    </row>
    <row r="19" spans="2:18" x14ac:dyDescent="0.25">
      <c r="F19" s="10"/>
      <c r="G19" s="10"/>
      <c r="H19" s="5"/>
      <c r="I19" s="5"/>
      <c r="J19" s="5"/>
      <c r="K19" s="5"/>
      <c r="L19" s="5"/>
    </row>
    <row r="20" spans="2:18" x14ac:dyDescent="0.25">
      <c r="D20" s="38"/>
      <c r="F20" s="10"/>
      <c r="G20" s="10"/>
      <c r="H20" s="5"/>
      <c r="I20" s="5"/>
      <c r="J20" s="5"/>
      <c r="K20" s="5"/>
      <c r="L20" s="5"/>
    </row>
    <row r="21" spans="2:18" x14ac:dyDescent="0.25">
      <c r="C21" s="6" t="s">
        <v>22</v>
      </c>
      <c r="D21" s="7" t="str">
        <f>'Parameter Selection'!$C$3</f>
        <v>-</v>
      </c>
      <c r="H21" s="5"/>
      <c r="I21" s="5"/>
      <c r="J21" s="5"/>
      <c r="K21" s="5"/>
      <c r="L21" s="5"/>
    </row>
    <row r="22" spans="2:18" x14ac:dyDescent="0.25">
      <c r="C22" s="6" t="s">
        <v>23</v>
      </c>
      <c r="D22" s="7" t="str">
        <f>'Parameter Selection'!$C$9</f>
        <v>NextSeq Mid Output</v>
      </c>
    </row>
    <row r="23" spans="2:18" x14ac:dyDescent="0.25">
      <c r="C23" s="6" t="s">
        <v>46</v>
      </c>
      <c r="D23" s="7" t="e">
        <f>VLOOKUP($D$22,$C$41:$E$49,3,FALSE)</f>
        <v>#N/A</v>
      </c>
    </row>
    <row r="24" spans="2:18" x14ac:dyDescent="0.25">
      <c r="C24" s="6" t="s">
        <v>54</v>
      </c>
      <c r="D24" s="7" t="e">
        <f>CONCATENATE(VLOOKUP(D21, $C$28:$E$36, 3, FALSE), "X")</f>
        <v>#N/A</v>
      </c>
    </row>
    <row r="25" spans="2:18" ht="21" x14ac:dyDescent="0.25">
      <c r="C25" s="6" t="s">
        <v>59</v>
      </c>
      <c r="D25" s="7" t="e">
        <f>VLOOKUP(D21,C28:D36,2,FALSE)</f>
        <v>#N/A</v>
      </c>
      <c r="E25" s="39"/>
      <c r="F25" s="39"/>
      <c r="G25" s="39"/>
      <c r="H25" s="39">
        <v>6</v>
      </c>
      <c r="I25" s="39">
        <v>7</v>
      </c>
      <c r="J25" s="39">
        <v>8</v>
      </c>
      <c r="K25" s="39">
        <v>9</v>
      </c>
      <c r="L25" s="39">
        <v>10</v>
      </c>
      <c r="M25" s="39">
        <v>11</v>
      </c>
      <c r="N25" s="39">
        <v>12</v>
      </c>
      <c r="O25" s="39">
        <v>13</v>
      </c>
      <c r="P25" s="39">
        <v>14</v>
      </c>
    </row>
    <row r="26" spans="2:18" ht="21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2:18" ht="18.75" x14ac:dyDescent="0.25">
      <c r="B27" s="66"/>
      <c r="C27" s="67" t="s">
        <v>22</v>
      </c>
      <c r="D27" s="67" t="s">
        <v>26</v>
      </c>
      <c r="E27" s="65" t="s">
        <v>38</v>
      </c>
      <c r="F27" s="67" t="s">
        <v>27</v>
      </c>
      <c r="G27" s="67" t="s">
        <v>32</v>
      </c>
      <c r="H27" s="68" t="s">
        <v>7</v>
      </c>
      <c r="I27" s="68" t="s">
        <v>8</v>
      </c>
      <c r="J27" s="68" t="s">
        <v>9</v>
      </c>
      <c r="K27" s="68" t="s">
        <v>10</v>
      </c>
      <c r="L27" s="68" t="s">
        <v>14</v>
      </c>
      <c r="M27" s="68" t="s">
        <v>15</v>
      </c>
      <c r="N27" s="68" t="s">
        <v>16</v>
      </c>
      <c r="O27" s="69" t="s">
        <v>50</v>
      </c>
      <c r="P27" s="69" t="s">
        <v>51</v>
      </c>
    </row>
    <row r="28" spans="2:18" ht="30" x14ac:dyDescent="0.25">
      <c r="B28" s="66"/>
      <c r="C28" s="60" t="s">
        <v>20</v>
      </c>
      <c r="D28" s="61">
        <v>2500</v>
      </c>
      <c r="E28" s="62">
        <f>IF('Parameter Selection'!$C$4&lt;&gt;"Recommended", 'Parameter Selection'!$C$6, Table6[[#This Row],[Recommended Coverage]])</f>
        <v>2500</v>
      </c>
      <c r="F28" s="63">
        <v>283</v>
      </c>
      <c r="G28" s="64">
        <f>Table6[[#This Row],['# Amplicons]]*Table6[[#This Row],[Coverage Used in Calc]]</f>
        <v>707500</v>
      </c>
      <c r="H28" s="63">
        <f>ROUNDDOWN(($G$6/Table6[[#This Row],[Coverage x Amplicons]])/2, 0)</f>
        <v>1</v>
      </c>
      <c r="I28" s="63">
        <f>ROUNDDOWN(($G$7/Table6[[#This Row],[Coverage x Amplicons]])/2, 0)</f>
        <v>5</v>
      </c>
      <c r="J28" s="63">
        <f>ROUNDDOWN(($G$8/Table6[[#This Row],[Coverage x Amplicons]])/2, 0)</f>
        <v>19</v>
      </c>
      <c r="K28" s="63">
        <f>ROUNDDOWN(($G$9/Table6[[#This Row],[Coverage x Amplicons]])/2, 0)</f>
        <v>31</v>
      </c>
      <c r="L28" s="61" t="s">
        <v>37</v>
      </c>
      <c r="M28" s="63">
        <f>ROUNDDOWN(($G$11/Table6[[#This Row],[Coverage x Amplicons]])/2, 0)</f>
        <v>165</v>
      </c>
      <c r="N28" s="63">
        <f>ROUNDDOWN(($G$12/Table6[[#This Row],[Coverage x Amplicons]])/2, 0)</f>
        <v>508</v>
      </c>
      <c r="O28" s="63">
        <f>ROUNDDOWN(($G$4/Table6[[#This Row],[Coverage x Amplicons]])/2, 0)</f>
        <v>10</v>
      </c>
      <c r="P28" s="63">
        <f>ROUNDDOWN(($G$5/Table6[[#This Row],[Coverage x Amplicons]])/2, 0)</f>
        <v>31</v>
      </c>
    </row>
    <row r="29" spans="2:18" ht="30" x14ac:dyDescent="0.25">
      <c r="B29" s="66"/>
      <c r="C29" s="60" t="s">
        <v>18</v>
      </c>
      <c r="D29" s="63">
        <v>2000</v>
      </c>
      <c r="E29" s="65">
        <f>IF('Parameter Selection'!$C$4&lt;&gt;"Recommended", 'Parameter Selection'!$C$6, Table6[[#This Row],[Recommended Coverage]])</f>
        <v>2000</v>
      </c>
      <c r="F29" s="63">
        <v>7</v>
      </c>
      <c r="G29" s="64">
        <f>Table6[[#This Row],['# Amplicons]]*Table6[[#This Row],[Coverage Used in Calc]]</f>
        <v>14000</v>
      </c>
      <c r="H29" s="63">
        <f>ROUNDDOWN(($G$6/Table6[[#This Row],[Coverage x Amplicons]])/2, 0)</f>
        <v>64</v>
      </c>
      <c r="I29" s="63">
        <f>ROUNDDOWN(($G$7/Table6[[#This Row],[Coverage x Amplicons]])/2, 0)</f>
        <v>257</v>
      </c>
      <c r="J29" s="63">
        <f>ROUNDDOWN(($G$8/Table6[[#This Row],[Coverage x Amplicons]])/2, 0)</f>
        <v>964</v>
      </c>
      <c r="K29" s="63">
        <f>ROUNDDOWN(($G$9/Table6[[#This Row],[Coverage x Amplicons]])/2, 0)</f>
        <v>1607</v>
      </c>
      <c r="L29" s="61" t="s">
        <v>37</v>
      </c>
      <c r="M29" s="63">
        <f>ROUNDDOWN(($G$11/Table6[[#This Row],[Coverage x Amplicons]])/2, 0)</f>
        <v>8357</v>
      </c>
      <c r="N29" s="63">
        <f>ROUNDDOWN(($G$12/Table6[[#This Row],[Coverage x Amplicons]])/2, 0)</f>
        <v>25714</v>
      </c>
      <c r="O29" s="63">
        <f>ROUNDDOWN(($G$4/Table6[[#This Row],[Coverage x Amplicons]])/2, 0)</f>
        <v>514</v>
      </c>
      <c r="P29" s="63">
        <f>ROUNDDOWN(($G$5/Table6[[#This Row],[Coverage x Amplicons]])/2, 0)</f>
        <v>1607</v>
      </c>
      <c r="Q29" s="29"/>
    </row>
    <row r="30" spans="2:18" ht="30" x14ac:dyDescent="0.25">
      <c r="B30" s="66"/>
      <c r="C30" s="60" t="s">
        <v>17</v>
      </c>
      <c r="D30" s="61">
        <v>2500</v>
      </c>
      <c r="E30" s="62">
        <f>IF('Parameter Selection'!$C$4&lt;&gt;"Recommended", 'Parameter Selection'!$C$6, Table6[[#This Row],[Recommended Coverage]])</f>
        <v>2500</v>
      </c>
      <c r="F30" s="63">
        <v>766</v>
      </c>
      <c r="G30" s="64">
        <f>Table6[[#This Row],['# Amplicons]]*Table6[[#This Row],[Coverage Used in Calc]]</f>
        <v>1915000</v>
      </c>
      <c r="H30" s="63">
        <f>ROUNDDOWN(($G$6/Table6[[#This Row],[Coverage x Amplicons]])/2, 0)</f>
        <v>0</v>
      </c>
      <c r="I30" s="63">
        <f>ROUNDDOWN(($G$7/Table6[[#This Row],[Coverage x Amplicons]])/2, 0)</f>
        <v>1</v>
      </c>
      <c r="J30" s="63">
        <f>ROUNDDOWN(($G$8/Table6[[#This Row],[Coverage x Amplicons]])/2, 0)</f>
        <v>7</v>
      </c>
      <c r="K30" s="63">
        <f>ROUNDDOWN(($G$9/Table6[[#This Row],[Coverage x Amplicons]])/2, 0)</f>
        <v>11</v>
      </c>
      <c r="L30" s="61" t="s">
        <v>37</v>
      </c>
      <c r="M30" s="63">
        <f>ROUNDDOWN(($G$11/Table6[[#This Row],[Coverage x Amplicons]])/2, 0)</f>
        <v>61</v>
      </c>
      <c r="N30" s="63">
        <f>ROUNDDOWN(($G$12/Table6[[#This Row],[Coverage x Amplicons]])/2, 0)</f>
        <v>187</v>
      </c>
      <c r="O30" s="63">
        <f>ROUNDDOWN(($G$4/Table6[[#This Row],[Coverage x Amplicons]])/2, 0)</f>
        <v>3</v>
      </c>
      <c r="P30" s="63">
        <f>ROUNDDOWN(($G$5/Table6[[#This Row],[Coverage x Amplicons]])/2, 0)</f>
        <v>11</v>
      </c>
      <c r="Q30" s="25"/>
    </row>
    <row r="31" spans="2:18" ht="18.75" x14ac:dyDescent="0.25">
      <c r="C31" s="19"/>
      <c r="D31" s="25"/>
      <c r="E31" s="37"/>
      <c r="F31" s="25"/>
      <c r="G31" s="26"/>
      <c r="H31" s="25"/>
      <c r="I31" s="25"/>
      <c r="J31" s="25"/>
      <c r="K31" s="25"/>
      <c r="L31" s="25"/>
      <c r="M31" s="27"/>
      <c r="N31" s="25"/>
      <c r="O31" s="25"/>
      <c r="P31" s="25"/>
      <c r="Q31" s="25"/>
      <c r="R31" s="25"/>
    </row>
    <row r="32" spans="2:18" x14ac:dyDescent="0.25">
      <c r="Q32" s="25"/>
      <c r="R32" s="25"/>
    </row>
    <row r="33" spans="3:18" x14ac:dyDescent="0.25">
      <c r="C33" s="20" t="s">
        <v>22</v>
      </c>
      <c r="D33" s="20" t="s">
        <v>26</v>
      </c>
      <c r="E33" s="32" t="s">
        <v>68</v>
      </c>
      <c r="F33" s="20" t="s">
        <v>49</v>
      </c>
      <c r="G33" s="20" t="s">
        <v>39</v>
      </c>
      <c r="H33" s="28" t="s">
        <v>7</v>
      </c>
      <c r="I33" s="28" t="s">
        <v>8</v>
      </c>
      <c r="J33" s="28" t="s">
        <v>9</v>
      </c>
      <c r="K33" s="28" t="s">
        <v>10</v>
      </c>
      <c r="L33" s="28" t="s">
        <v>14</v>
      </c>
      <c r="M33" s="28" t="s">
        <v>15</v>
      </c>
      <c r="N33" s="28" t="s">
        <v>16</v>
      </c>
      <c r="O33" s="41" t="s">
        <v>50</v>
      </c>
      <c r="P33" s="41" t="s">
        <v>51</v>
      </c>
      <c r="Q33" s="25"/>
    </row>
    <row r="34" spans="3:18" ht="30" x14ac:dyDescent="0.25">
      <c r="C34" s="35" t="s">
        <v>19</v>
      </c>
      <c r="D34" s="27">
        <v>2000</v>
      </c>
      <c r="E34" s="27">
        <f>IF('Parameter Selection'!$C$4&lt;&gt;"Recommended", 'Parameter Selection'!$C$6,Table9[[#This Row],[Recommended Coverage]])</f>
        <v>2000</v>
      </c>
      <c r="F34" s="27">
        <f>Table9[[#This Row],["Coverage" Used in Calc]]/Table9[[#This Row],[Recommended Coverage]]</f>
        <v>1</v>
      </c>
      <c r="G34" s="36">
        <f>((2000000+50000)*Table9[[#This Row],[&lt;Custom cvg&gt;]])</f>
        <v>2050000</v>
      </c>
      <c r="H34" s="13">
        <f>ROUNDDOWN(($G$6/Table9[[#This Row],[Per Sample Read Depth]]), 0)</f>
        <v>0</v>
      </c>
      <c r="I34" s="13">
        <f>ROUNDDOWN((G$7/Table9[[#This Row],[Per Sample Read Depth]]), 0)</f>
        <v>3</v>
      </c>
      <c r="J34" s="13">
        <f>ROUNDDOWN(($G$8/Table9[[#This Row],[Per Sample Read Depth]]), 0)</f>
        <v>13</v>
      </c>
      <c r="K34" s="13">
        <f>ROUNDDOWN(($G$9/Table9[[#This Row],[Per Sample Read Depth]]), 0)</f>
        <v>21</v>
      </c>
      <c r="L34" s="13" t="s">
        <v>37</v>
      </c>
      <c r="M34" s="13">
        <f>ROUNDDOWN(($G$11/Table9[[#This Row],[Per Sample Read Depth]]), 0)</f>
        <v>114</v>
      </c>
      <c r="N34" s="13">
        <f>ROUNDDOWN(($G$12/Table9[[#This Row],[Per Sample Read Depth]]), 0)</f>
        <v>351</v>
      </c>
      <c r="O34" s="13">
        <f>ROUNDDOWN(($G$4/Table9[[#This Row],[Per Sample Read Depth]]), 0)</f>
        <v>7</v>
      </c>
      <c r="P34" s="13">
        <f>ROUNDDOWN(($G$5/Table9[[#This Row],[Per Sample Read Depth]]), 0)</f>
        <v>21</v>
      </c>
      <c r="Q34" s="25"/>
    </row>
    <row r="35" spans="3:18" ht="30" x14ac:dyDescent="0.25">
      <c r="C35" s="35" t="s">
        <v>65</v>
      </c>
      <c r="D35" s="27">
        <v>2000</v>
      </c>
      <c r="E35" s="27">
        <f>IF('Parameter Selection'!$C$4&lt;&gt;"Recommended", 'Parameter Selection'!$C$6,Table9[[#This Row],[Recommended Coverage]])</f>
        <v>2000</v>
      </c>
      <c r="F35" s="27"/>
      <c r="G35" s="36">
        <v>625000</v>
      </c>
      <c r="H35" s="13" t="s">
        <v>37</v>
      </c>
      <c r="I35" s="13" t="s">
        <v>37</v>
      </c>
      <c r="J35" s="13" t="s">
        <v>37</v>
      </c>
      <c r="K35" s="13" t="s">
        <v>37</v>
      </c>
      <c r="L35" s="13">
        <v>48</v>
      </c>
      <c r="M35" s="13" t="s">
        <v>37</v>
      </c>
      <c r="N35" s="13" t="s">
        <v>37</v>
      </c>
      <c r="O35" s="13" t="s">
        <v>37</v>
      </c>
      <c r="P35" s="13" t="s">
        <v>37</v>
      </c>
      <c r="Q35" s="25"/>
    </row>
    <row r="36" spans="3:18" ht="30" x14ac:dyDescent="0.25">
      <c r="C36" s="72" t="s">
        <v>60</v>
      </c>
      <c r="D36" s="73">
        <v>28000</v>
      </c>
      <c r="E36" s="74">
        <f>IF('Parameter Selection'!$C$4&lt;&gt;"Recommended", 'Parameter Selection'!$C$6,Table9[[#This Row],[Recommended Coverage]])</f>
        <v>28000</v>
      </c>
      <c r="F36" s="74">
        <f>Table9[[#This Row],["Coverage" Used in Calc]]/Table9[[#This Row],[Recommended Coverage]]</f>
        <v>1</v>
      </c>
      <c r="G36" s="75">
        <f>(25000000 * Table9[[#This Row],[&lt;Custom cvg&gt;]])</f>
        <v>25000000</v>
      </c>
      <c r="H36" s="13">
        <f>ROUNDDOWN($G$6/Table9[[#This Row],[Per Sample Read Depth]], 0)</f>
        <v>0</v>
      </c>
      <c r="I36" s="13">
        <f>ROUNDDOWN(G$7/Table9[[#This Row],[Per Sample Read Depth]], 0)</f>
        <v>0</v>
      </c>
      <c r="J36" s="13">
        <f>ROUNDDOWN($G$8/Table9[[#This Row],[Per Sample Read Depth]], 0)</f>
        <v>1</v>
      </c>
      <c r="K36" s="76">
        <f>ROUNDDOWN($G$9/Table9[[#This Row],[Per Sample Read Depth]], 0)</f>
        <v>1</v>
      </c>
      <c r="L36" s="76" t="s">
        <v>37</v>
      </c>
      <c r="M36" s="76">
        <f>ROUNDDOWN($G$11/Table9[[#This Row],[Per Sample Read Depth]], 0)</f>
        <v>9</v>
      </c>
      <c r="N36" s="76">
        <f>ROUNDDOWN($G$12/Table9[[#This Row],[Per Sample Read Depth]], 0)</f>
        <v>28</v>
      </c>
      <c r="O36" s="77">
        <f>ROUNDDOWN($G$4/Table9[[#This Row],[Per Sample Read Depth]], 0)</f>
        <v>0</v>
      </c>
      <c r="P36" s="77">
        <f>ROUNDDOWN($G$5/Table9[[#This Row],[Per Sample Read Depth]], 0)</f>
        <v>1</v>
      </c>
      <c r="Q36" s="25"/>
      <c r="R36" s="25"/>
    </row>
    <row r="37" spans="3:18" x14ac:dyDescent="0.25">
      <c r="Q37" s="25"/>
      <c r="R37" s="25"/>
    </row>
    <row r="38" spans="3:18" x14ac:dyDescent="0.25">
      <c r="Q38" s="25"/>
      <c r="R38" s="25"/>
    </row>
    <row r="39" spans="3:18" x14ac:dyDescent="0.25">
      <c r="Q39" s="25"/>
      <c r="R39" s="25"/>
    </row>
    <row r="40" spans="3:18" x14ac:dyDescent="0.25">
      <c r="C40" s="6"/>
      <c r="D40" s="7"/>
      <c r="E40" s="70" t="s">
        <v>67</v>
      </c>
      <c r="Q40" s="25"/>
      <c r="R40" s="25"/>
    </row>
    <row r="41" spans="3:18" x14ac:dyDescent="0.25">
      <c r="C41" s="6" t="s">
        <v>50</v>
      </c>
      <c r="D41" s="7" t="e">
        <f>VLOOKUP($D$21,$C$28:$P$36,13,FALSE)</f>
        <v>#N/A</v>
      </c>
      <c r="E41" s="70" t="e">
        <f>IF(AND(ISNUMBER(D41), D41&gt; 96), 96, D41)</f>
        <v>#N/A</v>
      </c>
      <c r="Q41" s="25"/>
      <c r="R41" s="25"/>
    </row>
    <row r="42" spans="3:18" x14ac:dyDescent="0.25">
      <c r="C42" s="6" t="s">
        <v>51</v>
      </c>
      <c r="D42" s="7" t="e">
        <f>VLOOKUP($D$21,$C$28:$P$36,14,FALSE)</f>
        <v>#N/A</v>
      </c>
      <c r="E42" s="70" t="e">
        <f t="shared" ref="E42:E49" si="3">IF(AND(ISNUMBER(D42), D42&gt; 96), 96, D42)</f>
        <v>#N/A</v>
      </c>
      <c r="Q42" s="25"/>
      <c r="R42" s="25"/>
    </row>
    <row r="43" spans="3:18" x14ac:dyDescent="0.25">
      <c r="C43" s="40" t="s">
        <v>7</v>
      </c>
      <c r="D43" s="7" t="e">
        <f>VLOOKUP($D$21,$C$28:$P$36,6,FALSE)</f>
        <v>#N/A</v>
      </c>
      <c r="E43" s="70" t="e">
        <f t="shared" si="3"/>
        <v>#N/A</v>
      </c>
      <c r="Q43" s="25"/>
      <c r="R43" s="25"/>
    </row>
    <row r="44" spans="3:18" x14ac:dyDescent="0.25">
      <c r="C44" s="40" t="s">
        <v>8</v>
      </c>
      <c r="D44" s="7" t="e">
        <f>VLOOKUP($D$21,$C$28:$P$36,7,FALSE)</f>
        <v>#N/A</v>
      </c>
      <c r="E44" s="70" t="e">
        <f t="shared" si="3"/>
        <v>#N/A</v>
      </c>
      <c r="Q44" s="25"/>
      <c r="R44" s="25"/>
    </row>
    <row r="45" spans="3:18" x14ac:dyDescent="0.25">
      <c r="C45" s="40" t="s">
        <v>9</v>
      </c>
      <c r="D45" s="7" t="e">
        <f>VLOOKUP($D$21,$C$28:$P$36,8,FALSE)</f>
        <v>#N/A</v>
      </c>
      <c r="E45" s="70" t="e">
        <f t="shared" si="3"/>
        <v>#N/A</v>
      </c>
      <c r="Q45" s="25"/>
      <c r="R45" s="25"/>
    </row>
    <row r="46" spans="3:18" x14ac:dyDescent="0.25">
      <c r="C46" s="40" t="s">
        <v>10</v>
      </c>
      <c r="D46" s="7" t="e">
        <f>VLOOKUP($D$21,$C$28:$P$36,9,FALSE)</f>
        <v>#N/A</v>
      </c>
      <c r="E46" s="70" t="e">
        <f t="shared" si="3"/>
        <v>#N/A</v>
      </c>
      <c r="Q46" s="25"/>
      <c r="R46" s="25"/>
    </row>
    <row r="47" spans="3:18" x14ac:dyDescent="0.25">
      <c r="C47" s="40" t="s">
        <v>14</v>
      </c>
      <c r="D47" s="7" t="e">
        <f>VLOOKUP($D$21,$C$28:$P$36,10,FALSE)</f>
        <v>#N/A</v>
      </c>
      <c r="E47" s="70" t="e">
        <f t="shared" si="3"/>
        <v>#N/A</v>
      </c>
      <c r="Q47" s="25"/>
      <c r="R47" s="25"/>
    </row>
    <row r="48" spans="3:18" x14ac:dyDescent="0.25">
      <c r="C48" s="40" t="s">
        <v>15</v>
      </c>
      <c r="D48" s="7" t="e">
        <f>VLOOKUP($D$21,$C$28:$P$36,11,FALSE)</f>
        <v>#N/A</v>
      </c>
      <c r="E48" s="70" t="e">
        <f t="shared" si="3"/>
        <v>#N/A</v>
      </c>
      <c r="R48" s="25"/>
    </row>
    <row r="49" spans="3:19" x14ac:dyDescent="0.25">
      <c r="C49" s="40" t="s">
        <v>16</v>
      </c>
      <c r="D49" s="7" t="e">
        <f>VLOOKUP($D$21,$C$28:$P$36,12,FALSE)</f>
        <v>#N/A</v>
      </c>
      <c r="E49" s="70" t="e">
        <f t="shared" si="3"/>
        <v>#N/A</v>
      </c>
      <c r="R49" s="25"/>
    </row>
    <row r="50" spans="3:19" x14ac:dyDescent="0.25">
      <c r="Q50" s="20"/>
    </row>
    <row r="51" spans="3:19" x14ac:dyDescent="0.25">
      <c r="Q51" s="13"/>
    </row>
    <row r="52" spans="3:19" x14ac:dyDescent="0.25">
      <c r="C52" s="5" t="s">
        <v>70</v>
      </c>
      <c r="Q52" s="13"/>
      <c r="R52" s="28"/>
      <c r="S52" s="28"/>
    </row>
    <row r="53" spans="3:19" x14ac:dyDescent="0.25">
      <c r="Q53" s="13"/>
      <c r="R53" s="13"/>
    </row>
    <row r="54" spans="3:19" x14ac:dyDescent="0.25">
      <c r="Q54" s="13"/>
      <c r="R54" s="13"/>
    </row>
    <row r="55" spans="3:19" x14ac:dyDescent="0.25">
      <c r="R55" s="13"/>
    </row>
    <row r="56" spans="3:19" x14ac:dyDescent="0.25">
      <c r="R56" s="13"/>
    </row>
    <row r="59" spans="3:19" x14ac:dyDescent="0.25">
      <c r="L59" s="10"/>
      <c r="M59" s="13"/>
      <c r="O59" s="10"/>
    </row>
    <row r="60" spans="3:19" x14ac:dyDescent="0.25">
      <c r="L60" s="10"/>
      <c r="M60" s="13"/>
      <c r="O60" s="10"/>
    </row>
    <row r="61" spans="3:19" x14ac:dyDescent="0.25">
      <c r="L61" s="10"/>
      <c r="M61" s="13"/>
      <c r="O61" s="10"/>
    </row>
    <row r="62" spans="3:19" x14ac:dyDescent="0.25">
      <c r="L62" s="10"/>
      <c r="M62" s="13"/>
      <c r="O62" s="10"/>
    </row>
    <row r="63" spans="3:19" x14ac:dyDescent="0.25">
      <c r="L63" s="10"/>
      <c r="M63" s="13"/>
      <c r="O63" s="10"/>
    </row>
    <row r="64" spans="3:19" x14ac:dyDescent="0.25">
      <c r="L64" s="10"/>
      <c r="M64" s="13"/>
      <c r="O64" s="10"/>
    </row>
    <row r="65" spans="12:15" x14ac:dyDescent="0.25">
      <c r="L65" s="10"/>
      <c r="M65" s="13"/>
      <c r="O65" s="10"/>
    </row>
    <row r="66" spans="12:15" x14ac:dyDescent="0.25">
      <c r="L66" s="10"/>
      <c r="M66" s="13"/>
      <c r="O66" s="10"/>
    </row>
    <row r="67" spans="12:15" x14ac:dyDescent="0.25">
      <c r="L67" s="10"/>
      <c r="M67" s="13"/>
      <c r="O67" s="10"/>
    </row>
    <row r="68" spans="12:15" x14ac:dyDescent="0.25">
      <c r="L68" s="10"/>
      <c r="M68" s="13"/>
      <c r="O68" s="10"/>
    </row>
    <row r="69" spans="12:15" x14ac:dyDescent="0.25">
      <c r="L69" s="10"/>
      <c r="M69" s="13"/>
      <c r="O69" s="10"/>
    </row>
    <row r="70" spans="12:15" x14ac:dyDescent="0.25">
      <c r="L70" s="10"/>
      <c r="M70" s="13"/>
      <c r="O70" s="10"/>
    </row>
    <row r="71" spans="12:15" x14ac:dyDescent="0.25">
      <c r="L71" s="10"/>
      <c r="M71" s="13"/>
      <c r="O71" s="10"/>
    </row>
    <row r="72" spans="12:15" x14ac:dyDescent="0.25">
      <c r="L72" s="10"/>
      <c r="M72" s="13"/>
      <c r="O72" s="10"/>
    </row>
    <row r="73" spans="12:15" x14ac:dyDescent="0.25">
      <c r="L73" s="10"/>
      <c r="M73" s="13"/>
      <c r="O73" s="10"/>
    </row>
    <row r="74" spans="12:15" x14ac:dyDescent="0.25">
      <c r="L74" s="10"/>
      <c r="M74" s="13"/>
      <c r="O74" s="10"/>
    </row>
    <row r="75" spans="12:15" x14ac:dyDescent="0.25">
      <c r="L75" s="10"/>
      <c r="M75" s="13"/>
      <c r="O75" s="10"/>
    </row>
    <row r="76" spans="12:15" x14ac:dyDescent="0.25">
      <c r="L76" s="10"/>
      <c r="M76" s="13"/>
      <c r="O76" s="10"/>
    </row>
    <row r="77" spans="12:15" x14ac:dyDescent="0.25">
      <c r="L77" s="10"/>
      <c r="M77" s="13"/>
      <c r="O77" s="10"/>
    </row>
    <row r="78" spans="12:15" x14ac:dyDescent="0.25">
      <c r="L78" s="10"/>
      <c r="M78" s="13"/>
      <c r="O78" s="10"/>
    </row>
    <row r="79" spans="12:15" x14ac:dyDescent="0.25">
      <c r="L79" s="10"/>
      <c r="M79" s="13"/>
      <c r="O79" s="10"/>
    </row>
    <row r="80" spans="12:15" x14ac:dyDescent="0.25">
      <c r="L80" s="10"/>
      <c r="M80" s="13"/>
      <c r="O80" s="10"/>
    </row>
    <row r="81" spans="12:15" x14ac:dyDescent="0.25">
      <c r="L81" s="10"/>
      <c r="M81" s="13"/>
      <c r="O81" s="10"/>
    </row>
    <row r="82" spans="12:15" x14ac:dyDescent="0.25">
      <c r="L82" s="10"/>
      <c r="M82" s="13"/>
      <c r="O82" s="10"/>
    </row>
    <row r="83" spans="12:15" x14ac:dyDescent="0.25">
      <c r="L83" s="10"/>
      <c r="M83" s="13"/>
      <c r="O83" s="10"/>
    </row>
    <row r="84" spans="12:15" x14ac:dyDescent="0.25">
      <c r="L84" s="10"/>
      <c r="M84" s="13"/>
      <c r="O84" s="10"/>
    </row>
  </sheetData>
  <phoneticPr fontId="7" type="noConversion"/>
  <conditionalFormatting sqref="D27:D31">
    <cfRule type="expression" dxfId="4" priority="1">
      <formula>$D$16="Custom"</formula>
    </cfRule>
  </conditionalFormatting>
  <pageMargins left="0.7" right="0.7" top="0.75" bottom="0.75" header="0.3" footer="0.3"/>
  <pageSetup orientation="portrait" horizontalDpi="300" verticalDpi="300" r:id="rId1"/>
  <ignoredErrors>
    <ignoredError sqref="O36:P36" calculatedColum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Parameter Selection</vt:lpstr>
      <vt:lpstr>MiniSeq</vt:lpstr>
      <vt:lpstr>MiSeq</vt:lpstr>
      <vt:lpstr>NextSeq</vt:lpstr>
      <vt:lpstr>Platform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Nneka Nnatubeugo</dc:creator>
  <cp:lastModifiedBy>Nneka Nnatubeugo</cp:lastModifiedBy>
  <dcterms:created xsi:type="dcterms:W3CDTF">2023-02-22T14:57:33Z</dcterms:created>
  <dcterms:modified xsi:type="dcterms:W3CDTF">2023-07-28T18:29:22Z</dcterms:modified>
</cp:coreProperties>
</file>